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May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'!$A$6:$W$42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D9" i="9" l="1"/>
  <c r="D8" i="9"/>
  <c r="E8" i="9" s="1"/>
  <c r="H8" i="8" l="1"/>
  <c r="E6" i="9" l="1"/>
  <c r="D6" i="9"/>
  <c r="H10" i="8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U42" i="8" l="1"/>
  <c r="U41" i="8"/>
  <c r="U40" i="8"/>
  <c r="U39" i="8"/>
  <c r="U36" i="8"/>
  <c r="U35" i="8"/>
  <c r="U34" i="8"/>
  <c r="U30" i="8"/>
  <c r="U18" i="8"/>
  <c r="U17" i="8"/>
  <c r="U13" i="8"/>
  <c r="B2" i="9" l="1"/>
  <c r="C5" i="9"/>
  <c r="C2" i="9"/>
  <c r="E9" i="9" l="1"/>
  <c r="A13" i="8" l="1"/>
  <c r="D12" i="9" l="1"/>
  <c r="E12" i="9" s="1"/>
  <c r="F12" i="9"/>
  <c r="C12" i="9"/>
  <c r="B12" i="9"/>
  <c r="A14" i="8"/>
  <c r="A18" i="8" s="1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<sst xmlns="http://schemas.openxmlformats.org/spreadsheetml/2006/main" count="253" uniqueCount="155">
  <si>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</si>
  <si>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</si>
  <si>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</si>
  <si>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</si>
  <si>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</si>
  <si>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</si>
  <si>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</si>
  <si>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</si>
  <si>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</si>
  <si>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</si>
  <si>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</si>
  <si>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</si>
  <si>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</si>
  <si>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</si>
  <si>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</si>
  <si>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</si>
  <si>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</si>
  <si>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</si>
  <si>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</si>
  <si>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</si>
  <si>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</si>
  <si>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</si>
  <si>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</si>
  <si>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</si>
  <si>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</si>
  <si>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</si>
  <si>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</si>
  <si>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</si>
  <si>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</si>
  <si>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</si>
  <si>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</si>
  <si>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</si>
  <si>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</si>
  <si>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</si>
  <si>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</si>
  <si>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</si>
  <si>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</si>
  <si>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</si>
  <si>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</si>
  <si>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Temperature modeling / Scope refinement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</si>
  <si>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</si>
  <si>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</si>
  <si>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</si>
  <si>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</si>
  <si>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</si>
  <si>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</si>
  <si>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Lower Columbia/estuary PIT trawl, data analysis and report; oversight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</si>
  <si>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</si>
  <si>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</si>
  <si>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</si>
  <si>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</si>
  <si>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</si>
  <si>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</si>
  <si>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</si>
  <si>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</si>
  <si>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</si>
  <si>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Medina</t>
  </si>
  <si>
    <t>Bonneville PIT Detection</t>
  </si>
  <si>
    <t>TBD</t>
  </si>
  <si>
    <t>Winters</t>
  </si>
  <si>
    <t>Recover PIT tags from East Sand Island DCCO and CATE colonies; analysis and reporting;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</si>
  <si>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</si>
  <si>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</si>
  <si>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</si>
  <si>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</si>
  <si>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</si>
  <si>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</si>
  <si>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</si>
  <si>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</si>
  <si>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</si>
  <si>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</si>
  <si>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</si>
  <si>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</si>
  <si>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</si>
  <si>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</si>
  <si>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</si>
  <si>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</si>
  <si>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Lamprey (NWW/NWP)</t>
  </si>
  <si>
    <t>Total - Willamette (NWP)</t>
  </si>
  <si>
    <t>Wik</t>
  </si>
  <si>
    <t>Crum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</si>
  <si>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</si>
  <si>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</si>
  <si>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</si>
  <si>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</si>
  <si>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</si>
  <si>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</si>
  <si>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</si>
  <si>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</si>
  <si>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McGill</t>
  </si>
  <si>
    <t>CRFM FY19 RANKING SPREADSHEET</t>
  </si>
  <si>
    <t>Ice Harbor Turbine Passage Survival Program</t>
  </si>
  <si>
    <t>Final report and project close out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</si>
  <si>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</si>
  <si>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</si>
  <si>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</si>
  <si>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</si>
  <si>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</si>
  <si>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Funding for corrective action</t>
  </si>
  <si>
    <t>SA/EDC and construction modifications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</si>
  <si>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</si>
  <si>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</si>
  <si>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</si>
  <si>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</si>
  <si>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McNary Steelhead Overshoot</t>
  </si>
  <si>
    <t xml:space="preserve">Implementation of PIT detection at Little Goose ladder - based on feasibility assessment in FY18 </t>
  </si>
  <si>
    <t>Evaluation design and determine best approach because of impacts from high flow-debris events.</t>
  </si>
  <si>
    <t>Evaluation of design and modifications to address plate issues</t>
  </si>
  <si>
    <t>Budget does not reflect design and installation of fix (would require additional funding)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</si>
  <si>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</si>
  <si>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</si>
  <si>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</si>
  <si>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</si>
  <si>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</si>
  <si>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</si>
  <si>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</si>
  <si>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Avg score does not reflect D status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</si>
  <si>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</si>
  <si>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</si>
  <si>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SCT Avg Score</t>
  </si>
  <si>
    <t xml:space="preserve">FY19 Carry In </t>
  </si>
  <si>
    <t>Description (FY20 Scope)</t>
  </si>
  <si>
    <t>Planned for Closeout in FY19</t>
  </si>
  <si>
    <t xml:space="preserve">Implementation of DCCO EIS and DCCO Management Plan - </t>
  </si>
  <si>
    <t>EDC and S&amp;A / follow on work</t>
  </si>
  <si>
    <t>N</t>
  </si>
  <si>
    <t>CRFM FY20 RANKING SPREADSHEET</t>
  </si>
  <si>
    <t>Sands</t>
  </si>
  <si>
    <t>Hanson</t>
  </si>
  <si>
    <t>Lower Granite Juvenile Bypass Facility - Phase 1a (Gatewell to Separator), Phase 1b (Outfall) Close Out</t>
  </si>
  <si>
    <t>As-builts and contract close out. Preliminary scoping for Phase 1c completion contract.</t>
  </si>
  <si>
    <t>EDC, S&amp;A and contract close out.</t>
  </si>
  <si>
    <t>Contract oversight, coordination, and management.</t>
  </si>
  <si>
    <t xml:space="preserve">This project has been deferred - FY21.  FY20 costs will be to solicit contract for an early FY21 award. </t>
  </si>
  <si>
    <t>was previously $21.216M</t>
  </si>
  <si>
    <t>Woodliand Island Beneficial Uses of Dredged Material Baseline Data Collection</t>
  </si>
  <si>
    <t>AEMR Study (YR 3: analysis and reporting) NOTE: Prior reduced capability listed as $600K</t>
  </si>
  <si>
    <t>McNary Avian Deterrent Deficiency Correction and Avian Wire Design Feasibility Report</t>
  </si>
  <si>
    <t>FY20 Initial Capability April 2019</t>
  </si>
  <si>
    <t>Planned for Closeout in FY20</t>
  </si>
  <si>
    <t xml:space="preserve">Planned for Closeout in FY20 </t>
  </si>
  <si>
    <t>Complete final transfer of constructed islands</t>
  </si>
  <si>
    <t xml:space="preserve">Second year of Cormorant monitoring (three years post terrain mods at ESI)  </t>
  </si>
  <si>
    <t>letter report and closeout</t>
  </si>
  <si>
    <t xml:space="preserve">This project could be deferred to FY21 </t>
  </si>
  <si>
    <t>FY20 Preliminary Cumulative Capability</t>
  </si>
  <si>
    <t>SCT 2020 Average Score</t>
  </si>
  <si>
    <t>FY20 President's Budget Total $21.602M (House/Senate TBD)</t>
  </si>
  <si>
    <t>This is required for long term operation of the TSWs.   What is in place now is a short term solution.</t>
  </si>
  <si>
    <t>LMO FGE SOG vs PROG (SR 10-min intake gate closure)</t>
  </si>
  <si>
    <t>Review, closeout, and equipment removal</t>
  </si>
  <si>
    <t>Close out in FY19</t>
  </si>
  <si>
    <t>Funding for Spring and labor requriements to support both fall and spring in FY20.</t>
  </si>
  <si>
    <t>Implementation of Spring study to assess overshoot of steelhead at McNary.  Fall study to be awarded in FY19.</t>
  </si>
  <si>
    <t>Version: 4/17/2019 (Version 3.0)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</si>
</sst>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  <font>
      <strike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34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6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6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0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1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12" fillId="7" borderId="4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9" fillId="4" borderId="4" xfId="0" applyFont="1" applyFill="1" applyBorder="1" applyAlignment="1">
      <alignment horizontal="center" wrapText="1"/>
    </xf>
    <xf numFmtId="164" fontId="12" fillId="10" borderId="2" xfId="0" applyFont="1" applyFill="1" applyBorder="1" applyAlignment="1">
      <alignment horizontal="center"/>
    </xf>
    <xf numFmtId="164" fontId="10" fillId="10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1" borderId="1" xfId="0" applyFont="1" applyFill="1" applyBorder="1" applyAlignment="1" applyProtection="1">
      <alignment horizontal="left" vertical="top" wrapText="1"/>
      <protection locked="0"/>
    </xf>
    <xf numFmtId="164" fontId="10" fillId="11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164" fontId="10" fillId="10" borderId="4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0" fontId="9" fillId="8" borderId="1" xfId="0" applyNumberFormat="1" applyFont="1" applyFill="1" applyBorder="1" applyAlignment="1" applyProtection="1">
      <alignment horizontal="center" vertical="top" wrapText="1"/>
      <protection locked="0"/>
    </xf>
    <xf numFmtId="0" fontId="9" fillId="9" borderId="1" xfId="0" applyNumberFormat="1" applyFont="1" applyFill="1" applyBorder="1" applyAlignment="1" applyProtection="1">
      <alignment vertical="top" wrapText="1"/>
      <protection locked="0"/>
    </xf>
    <xf numFmtId="164" fontId="9" fillId="6" borderId="1" xfId="0" applyFont="1" applyFill="1" applyBorder="1" applyAlignment="1" applyProtection="1">
      <alignment horizontal="center" vertical="top" wrapText="1"/>
      <protection locked="0"/>
    </xf>
    <xf numFmtId="164" fontId="9" fillId="6" borderId="2" xfId="0" applyFont="1" applyFill="1" applyBorder="1" applyAlignment="1" applyProtection="1">
      <alignment vertical="top" wrapText="1"/>
      <protection locked="0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2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/>
    <xf numFmtId="164" fontId="10" fillId="0" borderId="1" xfId="0" applyFont="1" applyFill="1" applyBorder="1" applyProtection="1">
      <protection locked="0"/>
    </xf>
    <xf numFmtId="1" fontId="16" fillId="0" borderId="1" xfId="0" applyNumberFormat="1" applyFont="1" applyFill="1" applyBorder="1" applyAlignment="1">
      <alignment horizontal="center" vertical="top"/>
    </xf>
    <xf numFmtId="164" fontId="17" fillId="0" borderId="1" xfId="0" applyFont="1" applyFill="1" applyBorder="1" applyAlignment="1">
      <alignment horizontal="center" vertical="top"/>
    </xf>
    <xf numFmtId="164" fontId="17" fillId="11" borderId="1" xfId="0" applyFont="1" applyFill="1" applyBorder="1" applyAlignment="1" applyProtection="1">
      <alignment horizontal="left" vertical="top" wrapText="1"/>
      <protection locked="0"/>
    </xf>
    <xf numFmtId="164" fontId="17" fillId="0" borderId="1" xfId="0" applyFont="1" applyFill="1" applyBorder="1" applyAlignment="1" applyProtection="1">
      <alignment horizontal="center" vertical="top" wrapText="1"/>
      <protection locked="0"/>
    </xf>
    <xf numFmtId="0" fontId="1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7" fillId="0" borderId="1" xfId="0" applyFont="1" applyFill="1" applyBorder="1" applyAlignment="1" applyProtection="1">
      <alignment horizontal="left" vertical="top" wrapText="1"/>
      <protection locked="0"/>
    </xf>
    <xf numFmtId="3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6" fillId="0" borderId="1" xfId="0" applyNumberFormat="1" applyFont="1" applyFill="1" applyBorder="1" applyAlignment="1" applyProtection="1">
      <alignment horizontal="center" vertical="top"/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  <xf numFmtId="3" fontId="10" fillId="11" borderId="1" xfId="0" applyNumberFormat="1" applyFont="1" applyFill="1" applyBorder="1" applyAlignment="1" applyProtection="1">
      <alignment horizontal="center" vertical="top"/>
      <protection locked="0"/>
    </xf>
    <xf numFmtId="3" fontId="16" fillId="11" borderId="1" xfId="0" applyNumberFormat="1" applyFont="1" applyFill="1" applyBorder="1" applyAlignment="1" applyProtection="1">
      <alignment horizontal="center" vertical="top"/>
      <protection locked="0"/>
    </xf>
    <xf numFmtId="164" fontId="10" fillId="11" borderId="1" xfId="0" applyFont="1" applyFill="1" applyBorder="1" applyAlignment="1" applyProtection="1">
      <alignment vertical="top" wrapText="1"/>
      <protection locked="0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tabSelected="1" zoomScale="70" zoomScaleNormal="70" workbookViewId="0">
      <selection activeCell="H2" sqref="H2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1.7109375" style="1" customWidth="1"/>
    <col min="5" max="5" width="10.42578125" style="1" customWidth="1"/>
    <col min="6" max="6" width="61" style="1" customWidth="1"/>
    <col min="7" max="7" width="15.7109375" customWidth="1"/>
    <col min="8" max="8" width="14.85546875" style="18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2.85546875" style="1" customWidth="1"/>
    <col min="22" max="22" width="31.2851562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126</v>
      </c>
      <c r="C1" s="54"/>
      <c r="D1" s="54"/>
      <c r="E1" s="54"/>
      <c r="F1" s="5"/>
    </row>
    <row r="2" spans="1:24" ht="72.75" customHeight="1" x14ac:dyDescent="0.25">
      <c r="C2" s="83" t="s">
        <v>147</v>
      </c>
      <c r="D2" s="127"/>
      <c r="E2" s="127"/>
      <c r="F2" s="85" t="s">
        <v>154</v>
      </c>
    </row>
    <row r="3" spans="1:24" ht="21" customHeight="1" x14ac:dyDescent="0.25">
      <c r="C3" s="84" t="s">
        <v>120</v>
      </c>
      <c r="D3" s="128"/>
      <c r="E3" s="128"/>
      <c r="F3" s="85" t="s">
        <v>86</v>
      </c>
    </row>
    <row r="4" spans="1:24" ht="15" x14ac:dyDescent="0.25">
      <c r="C4" s="84"/>
      <c r="D4" s="127"/>
      <c r="E4" s="127"/>
      <c r="F4" s="55"/>
    </row>
    <row r="5" spans="1:24" ht="15" x14ac:dyDescent="0.25">
      <c r="C5" s="84"/>
      <c r="D5" s="128"/>
      <c r="E5" s="128"/>
    </row>
    <row r="6" spans="1:24" s="111" customFormat="1" ht="96.75" customHeight="1" x14ac:dyDescent="0.2">
      <c r="A6" s="103" t="s">
        <v>13</v>
      </c>
      <c r="B6" s="104" t="s">
        <v>1</v>
      </c>
      <c r="C6" s="104" t="s">
        <v>45</v>
      </c>
      <c r="D6" s="104" t="s">
        <v>55</v>
      </c>
      <c r="E6" s="104" t="s">
        <v>51</v>
      </c>
      <c r="F6" s="104" t="s">
        <v>121</v>
      </c>
      <c r="G6" s="114" t="s">
        <v>138</v>
      </c>
      <c r="H6" s="114" t="s">
        <v>145</v>
      </c>
      <c r="I6" s="105" t="s">
        <v>14</v>
      </c>
      <c r="J6" s="106" t="s">
        <v>15</v>
      </c>
      <c r="K6" s="106" t="s">
        <v>16</v>
      </c>
      <c r="L6" s="106" t="s">
        <v>17</v>
      </c>
      <c r="M6" s="106" t="s">
        <v>18</v>
      </c>
      <c r="N6" s="106" t="s">
        <v>19</v>
      </c>
      <c r="O6" s="106" t="s">
        <v>20</v>
      </c>
      <c r="P6" s="106" t="s">
        <v>21</v>
      </c>
      <c r="Q6" s="106" t="s">
        <v>22</v>
      </c>
      <c r="R6" s="106" t="s">
        <v>23</v>
      </c>
      <c r="S6" s="106" t="s">
        <v>24</v>
      </c>
      <c r="T6" s="106" t="s">
        <v>25</v>
      </c>
      <c r="U6" s="107" t="s">
        <v>146</v>
      </c>
      <c r="V6" s="108" t="s">
        <v>36</v>
      </c>
      <c r="W6" s="109" t="s">
        <v>30</v>
      </c>
      <c r="X6" s="110"/>
    </row>
    <row r="7" spans="1:24" ht="15.75" x14ac:dyDescent="0.25">
      <c r="A7" s="40"/>
      <c r="B7" s="78" t="s">
        <v>6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80"/>
      <c r="W7" t="s">
        <v>32</v>
      </c>
    </row>
    <row r="8" spans="1:24" s="38" customFormat="1" ht="15.75" x14ac:dyDescent="0.25">
      <c r="A8" s="66">
        <v>1</v>
      </c>
      <c r="B8" s="41" t="s">
        <v>6</v>
      </c>
      <c r="C8" s="46"/>
      <c r="D8" s="46"/>
      <c r="E8" s="57"/>
      <c r="F8" s="42" t="s">
        <v>78</v>
      </c>
      <c r="G8" s="72">
        <v>60850</v>
      </c>
      <c r="H8" s="72">
        <f>G8</f>
        <v>60850</v>
      </c>
      <c r="I8" s="43" t="s">
        <v>27</v>
      </c>
      <c r="J8" s="43"/>
      <c r="K8" s="43"/>
      <c r="L8" s="43"/>
      <c r="M8" s="43"/>
      <c r="N8" s="43"/>
      <c r="O8" s="43"/>
      <c r="P8" s="44"/>
      <c r="Q8" s="45"/>
      <c r="R8" s="44"/>
      <c r="S8" s="44"/>
      <c r="T8" s="41" t="s">
        <v>28</v>
      </c>
      <c r="U8" s="46"/>
      <c r="V8" s="46" t="s">
        <v>134</v>
      </c>
      <c r="W8" s="38" t="s">
        <v>33</v>
      </c>
      <c r="X8" s="39"/>
    </row>
    <row r="9" spans="1:24" s="38" customFormat="1" ht="15.75" x14ac:dyDescent="0.25">
      <c r="A9" s="59"/>
      <c r="B9" s="81" t="s">
        <v>76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102"/>
      <c r="X9" s="39"/>
    </row>
    <row r="10" spans="1:24" s="38" customFormat="1" ht="15.75" x14ac:dyDescent="0.25">
      <c r="A10" s="66">
        <v>2</v>
      </c>
      <c r="B10" s="41" t="s">
        <v>29</v>
      </c>
      <c r="C10" s="46"/>
      <c r="D10" s="46"/>
      <c r="E10" s="57"/>
      <c r="F10" s="42" t="s">
        <v>77</v>
      </c>
      <c r="G10" s="72">
        <v>2655</v>
      </c>
      <c r="H10" s="72">
        <f>H8+G10</f>
        <v>63505</v>
      </c>
      <c r="I10" s="43" t="s">
        <v>27</v>
      </c>
      <c r="J10" s="43"/>
      <c r="K10" s="43"/>
      <c r="L10" s="43"/>
      <c r="M10" s="43"/>
      <c r="N10" s="43"/>
      <c r="O10" s="43"/>
      <c r="P10" s="44"/>
      <c r="Q10" s="45"/>
      <c r="R10" s="44"/>
      <c r="S10" s="44"/>
      <c r="T10" s="41" t="s">
        <v>28</v>
      </c>
      <c r="U10" s="46"/>
      <c r="V10" s="46"/>
      <c r="W10" s="38" t="s">
        <v>34</v>
      </c>
      <c r="X10" s="39"/>
    </row>
    <row r="11" spans="1:24" ht="6.75" customHeight="1" x14ac:dyDescent="0.2">
      <c r="A11" s="47"/>
      <c r="B11" s="48"/>
      <c r="C11" s="49"/>
      <c r="D11" s="49"/>
      <c r="E11" s="58"/>
      <c r="F11" s="49"/>
      <c r="G11" s="50"/>
      <c r="H11" s="47"/>
      <c r="I11" s="51"/>
      <c r="J11" s="51"/>
      <c r="K11" s="51"/>
      <c r="L11" s="51"/>
      <c r="M11" s="51"/>
      <c r="N11" s="51"/>
      <c r="O11" s="51"/>
      <c r="P11" s="51"/>
      <c r="Q11" s="52"/>
      <c r="R11" s="51"/>
      <c r="S11" s="51"/>
      <c r="T11" s="48"/>
      <c r="U11" s="49"/>
      <c r="V11" s="49"/>
    </row>
    <row r="12" spans="1:24" ht="15.6" customHeight="1" x14ac:dyDescent="0.25">
      <c r="A12" s="53"/>
      <c r="B12" s="76" t="s">
        <v>26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7"/>
    </row>
    <row r="13" spans="1:24" s="38" customFormat="1" ht="48" customHeight="1" x14ac:dyDescent="0.2">
      <c r="A13" s="66">
        <f>A10+1</f>
        <v>3</v>
      </c>
      <c r="B13" s="65" t="s">
        <v>2</v>
      </c>
      <c r="C13" s="86" t="s">
        <v>35</v>
      </c>
      <c r="D13" s="90" t="s">
        <v>61</v>
      </c>
      <c r="E13" s="91">
        <v>123452</v>
      </c>
      <c r="F13" s="86" t="s">
        <v>135</v>
      </c>
      <c r="G13" s="131">
        <v>995</v>
      </c>
      <c r="H13" s="92">
        <f>H10+G13</f>
        <v>64500</v>
      </c>
      <c r="I13" s="93" t="s">
        <v>125</v>
      </c>
      <c r="J13" s="93"/>
      <c r="K13" s="93"/>
      <c r="L13" s="93"/>
      <c r="M13" s="93"/>
      <c r="N13" s="93"/>
      <c r="O13" s="93"/>
      <c r="P13" s="93"/>
      <c r="Q13" s="93"/>
      <c r="R13" s="94"/>
      <c r="S13" s="93"/>
      <c r="T13" s="93"/>
      <c r="U13" s="95" t="e">
        <f>AVERAGE(J13:T13)</f>
        <v>#DIV/0!</v>
      </c>
      <c r="V13" s="96" t="s">
        <v>136</v>
      </c>
      <c r="W13" s="96" t="s">
        <v>109</v>
      </c>
      <c r="X13" s="56"/>
    </row>
    <row r="14" spans="1:24" s="38" customFormat="1" ht="45" x14ac:dyDescent="0.2">
      <c r="A14" s="66">
        <f>A13+1</f>
        <v>4</v>
      </c>
      <c r="B14" s="65" t="s">
        <v>2</v>
      </c>
      <c r="C14" s="87" t="s">
        <v>37</v>
      </c>
      <c r="D14" s="90" t="s">
        <v>59</v>
      </c>
      <c r="E14" s="91">
        <v>399072</v>
      </c>
      <c r="F14" s="89" t="s">
        <v>123</v>
      </c>
      <c r="G14" s="131">
        <v>30</v>
      </c>
      <c r="H14" s="92">
        <f>H13+G14</f>
        <v>64530</v>
      </c>
      <c r="I14" s="93" t="s">
        <v>27</v>
      </c>
      <c r="J14" s="93"/>
      <c r="K14" s="93"/>
      <c r="L14" s="93"/>
      <c r="M14" s="93"/>
      <c r="N14" s="93"/>
      <c r="O14" s="93"/>
      <c r="P14" s="93"/>
      <c r="Q14" s="93"/>
      <c r="R14" s="94"/>
      <c r="S14" s="93"/>
      <c r="T14" s="93"/>
      <c r="U14" s="95" t="s">
        <v>28</v>
      </c>
      <c r="V14" s="96" t="s">
        <v>142</v>
      </c>
      <c r="W14" s="96"/>
      <c r="X14" s="39"/>
    </row>
    <row r="15" spans="1:24" s="38" customFormat="1" ht="30" x14ac:dyDescent="0.2">
      <c r="A15" s="73">
        <v>11</v>
      </c>
      <c r="B15" s="67" t="s">
        <v>3</v>
      </c>
      <c r="C15" s="88" t="s">
        <v>84</v>
      </c>
      <c r="D15" s="97" t="s">
        <v>63</v>
      </c>
      <c r="E15" s="94">
        <v>122434</v>
      </c>
      <c r="F15" s="86" t="s">
        <v>85</v>
      </c>
      <c r="G15" s="131">
        <v>104</v>
      </c>
      <c r="H15" s="92">
        <f t="shared" ref="H15:H28" si="0">H14+G15</f>
        <v>64634</v>
      </c>
      <c r="I15" s="93" t="s">
        <v>27</v>
      </c>
      <c r="J15" s="93"/>
      <c r="K15" s="93"/>
      <c r="L15" s="93"/>
      <c r="M15" s="93"/>
      <c r="N15" s="93"/>
      <c r="O15" s="93"/>
      <c r="P15" s="93"/>
      <c r="Q15" s="93"/>
      <c r="R15" s="94"/>
      <c r="S15" s="93"/>
      <c r="T15" s="93"/>
      <c r="U15" s="95" t="s">
        <v>28</v>
      </c>
      <c r="V15" s="96" t="s">
        <v>95</v>
      </c>
      <c r="W15" s="96"/>
      <c r="X15" s="39"/>
    </row>
    <row r="16" spans="1:24" s="38" customFormat="1" ht="35.450000000000003" customHeight="1" x14ac:dyDescent="0.2">
      <c r="A16" s="66">
        <v>7</v>
      </c>
      <c r="B16" s="67" t="s">
        <v>4</v>
      </c>
      <c r="C16" s="88" t="s">
        <v>62</v>
      </c>
      <c r="D16" s="97" t="s">
        <v>103</v>
      </c>
      <c r="E16" s="94">
        <v>142630</v>
      </c>
      <c r="F16" s="86" t="s">
        <v>139</v>
      </c>
      <c r="G16" s="131">
        <v>150</v>
      </c>
      <c r="H16" s="92">
        <f t="shared" si="0"/>
        <v>64784</v>
      </c>
      <c r="I16" s="93" t="s">
        <v>27</v>
      </c>
      <c r="J16" s="93"/>
      <c r="K16" s="93"/>
      <c r="L16" s="93"/>
      <c r="M16" s="93"/>
      <c r="N16" s="93"/>
      <c r="O16" s="93"/>
      <c r="P16" s="93"/>
      <c r="Q16" s="93"/>
      <c r="R16" s="94"/>
      <c r="S16" s="93"/>
      <c r="T16" s="93"/>
      <c r="U16" s="95" t="s">
        <v>28</v>
      </c>
      <c r="V16" s="96" t="s">
        <v>96</v>
      </c>
      <c r="W16" s="96"/>
      <c r="X16" s="39"/>
    </row>
    <row r="17" spans="1:24" s="38" customFormat="1" ht="30" x14ac:dyDescent="0.2">
      <c r="A17" s="66">
        <v>8</v>
      </c>
      <c r="B17" s="68" t="s">
        <v>5</v>
      </c>
      <c r="C17" s="87" t="s">
        <v>64</v>
      </c>
      <c r="D17" s="90" t="s">
        <v>65</v>
      </c>
      <c r="E17" s="91">
        <v>156117</v>
      </c>
      <c r="F17" s="86" t="s">
        <v>46</v>
      </c>
      <c r="G17" s="131">
        <v>1200</v>
      </c>
      <c r="H17" s="92">
        <f t="shared" si="0"/>
        <v>65984</v>
      </c>
      <c r="I17" s="93" t="s">
        <v>125</v>
      </c>
      <c r="J17" s="93"/>
      <c r="K17" s="93"/>
      <c r="L17" s="93"/>
      <c r="M17" s="93"/>
      <c r="N17" s="93"/>
      <c r="O17" s="93"/>
      <c r="P17" s="93"/>
      <c r="Q17" s="93"/>
      <c r="R17" s="94"/>
      <c r="S17" s="93"/>
      <c r="T17" s="93"/>
      <c r="U17" s="95" t="e">
        <f>AVERAGE(J17:T17)</f>
        <v>#DIV/0!</v>
      </c>
      <c r="V17" s="96" t="s">
        <v>97</v>
      </c>
      <c r="W17" s="96"/>
      <c r="X17" s="39"/>
    </row>
    <row r="18" spans="1:24" s="38" customFormat="1" ht="30" x14ac:dyDescent="0.2">
      <c r="A18" s="66">
        <f t="shared" ref="A18" si="1">A17+1</f>
        <v>9</v>
      </c>
      <c r="B18" s="67" t="s">
        <v>5</v>
      </c>
      <c r="C18" s="87" t="s">
        <v>12</v>
      </c>
      <c r="D18" s="90" t="s">
        <v>59</v>
      </c>
      <c r="E18" s="91">
        <v>395290</v>
      </c>
      <c r="F18" s="86" t="s">
        <v>60</v>
      </c>
      <c r="G18" s="131">
        <v>270</v>
      </c>
      <c r="H18" s="92">
        <f t="shared" si="0"/>
        <v>66254</v>
      </c>
      <c r="I18" s="93" t="s">
        <v>125</v>
      </c>
      <c r="J18" s="93"/>
      <c r="K18" s="93"/>
      <c r="L18" s="93"/>
      <c r="M18" s="93"/>
      <c r="N18" s="93"/>
      <c r="O18" s="93"/>
      <c r="P18" s="93"/>
      <c r="Q18" s="93"/>
      <c r="R18" s="94"/>
      <c r="S18" s="93"/>
      <c r="T18" s="93"/>
      <c r="U18" s="95" t="e">
        <f>AVERAGE(J18:T18)</f>
        <v>#DIV/0!</v>
      </c>
      <c r="V18" s="96"/>
      <c r="W18" s="96"/>
      <c r="X18" s="39"/>
    </row>
    <row r="19" spans="1:24" s="38" customFormat="1" ht="30" x14ac:dyDescent="0.2">
      <c r="A19" s="66">
        <v>12</v>
      </c>
      <c r="B19" s="69" t="s">
        <v>40</v>
      </c>
      <c r="C19" s="88" t="s">
        <v>67</v>
      </c>
      <c r="D19" s="98" t="s">
        <v>66</v>
      </c>
      <c r="E19" s="99">
        <v>465995</v>
      </c>
      <c r="F19" s="86" t="s">
        <v>122</v>
      </c>
      <c r="G19" s="131">
        <v>5</v>
      </c>
      <c r="H19" s="92">
        <f t="shared" si="0"/>
        <v>66259</v>
      </c>
      <c r="I19" s="93" t="s">
        <v>27</v>
      </c>
      <c r="J19" s="93"/>
      <c r="K19" s="93"/>
      <c r="L19" s="93"/>
      <c r="M19" s="93"/>
      <c r="N19" s="93"/>
      <c r="O19" s="93"/>
      <c r="P19" s="93"/>
      <c r="Q19" s="93"/>
      <c r="R19" s="94"/>
      <c r="S19" s="93"/>
      <c r="T19" s="93"/>
      <c r="U19" s="95" t="s">
        <v>28</v>
      </c>
      <c r="V19" s="96" t="s">
        <v>143</v>
      </c>
      <c r="W19" s="100"/>
      <c r="X19" s="39"/>
    </row>
    <row r="20" spans="1:24" s="38" customFormat="1" ht="36" customHeight="1" x14ac:dyDescent="0.2">
      <c r="A20" s="66">
        <v>13</v>
      </c>
      <c r="B20" s="67" t="s">
        <v>5</v>
      </c>
      <c r="C20" s="88" t="s">
        <v>68</v>
      </c>
      <c r="D20" s="97" t="s">
        <v>69</v>
      </c>
      <c r="E20" s="94">
        <v>123591</v>
      </c>
      <c r="F20" s="86" t="s">
        <v>47</v>
      </c>
      <c r="G20" s="131">
        <v>400</v>
      </c>
      <c r="H20" s="92">
        <f t="shared" si="0"/>
        <v>66659</v>
      </c>
      <c r="I20" s="93" t="s">
        <v>27</v>
      </c>
      <c r="J20" s="93"/>
      <c r="K20" s="93"/>
      <c r="L20" s="93"/>
      <c r="M20" s="93"/>
      <c r="N20" s="93"/>
      <c r="O20" s="93"/>
      <c r="P20" s="93"/>
      <c r="Q20" s="93"/>
      <c r="R20" s="94"/>
      <c r="S20" s="93"/>
      <c r="T20" s="116"/>
      <c r="U20" s="93" t="s">
        <v>28</v>
      </c>
      <c r="V20" s="96"/>
      <c r="W20" s="96"/>
      <c r="X20" s="39"/>
    </row>
    <row r="21" spans="1:24" s="38" customFormat="1" ht="45" x14ac:dyDescent="0.2">
      <c r="A21" s="66">
        <v>14</v>
      </c>
      <c r="B21" s="67" t="s">
        <v>11</v>
      </c>
      <c r="C21" s="88" t="s">
        <v>137</v>
      </c>
      <c r="D21" s="97" t="s">
        <v>79</v>
      </c>
      <c r="E21" s="94">
        <v>464428</v>
      </c>
      <c r="F21" s="86" t="s">
        <v>106</v>
      </c>
      <c r="G21" s="131">
        <v>150</v>
      </c>
      <c r="H21" s="92">
        <f t="shared" si="0"/>
        <v>66809</v>
      </c>
      <c r="I21" s="93" t="s">
        <v>27</v>
      </c>
      <c r="J21" s="93"/>
      <c r="K21" s="93"/>
      <c r="L21" s="93"/>
      <c r="M21" s="93"/>
      <c r="N21" s="93"/>
      <c r="O21" s="93"/>
      <c r="P21" s="93"/>
      <c r="Q21" s="93"/>
      <c r="R21" s="94"/>
      <c r="S21" s="93"/>
      <c r="T21" s="116"/>
      <c r="U21" s="93" t="s">
        <v>28</v>
      </c>
      <c r="V21" s="96"/>
      <c r="W21" s="96"/>
      <c r="X21" s="39"/>
    </row>
    <row r="22" spans="1:24" s="38" customFormat="1" ht="72" customHeight="1" x14ac:dyDescent="0.2">
      <c r="A22" s="66">
        <v>15</v>
      </c>
      <c r="B22" s="67" t="s">
        <v>11</v>
      </c>
      <c r="C22" s="89" t="s">
        <v>88</v>
      </c>
      <c r="D22" s="97" t="s">
        <v>79</v>
      </c>
      <c r="E22" s="94">
        <v>398029</v>
      </c>
      <c r="F22" s="86" t="s">
        <v>133</v>
      </c>
      <c r="G22" s="131">
        <v>50</v>
      </c>
      <c r="H22" s="92">
        <f t="shared" si="0"/>
        <v>66859</v>
      </c>
      <c r="I22" s="93" t="s">
        <v>125</v>
      </c>
      <c r="J22" s="93"/>
      <c r="K22" s="93"/>
      <c r="L22" s="93"/>
      <c r="M22" s="93"/>
      <c r="N22" s="93"/>
      <c r="O22" s="93"/>
      <c r="P22" s="93"/>
      <c r="Q22" s="93"/>
      <c r="R22" s="94"/>
      <c r="S22" s="93"/>
      <c r="T22" s="93"/>
      <c r="U22" s="93" t="s">
        <v>28</v>
      </c>
      <c r="V22" s="133" t="s">
        <v>148</v>
      </c>
      <c r="W22" s="96" t="s">
        <v>110</v>
      </c>
      <c r="X22" s="39"/>
    </row>
    <row r="23" spans="1:24" s="38" customFormat="1" ht="62.25" customHeight="1" x14ac:dyDescent="0.2">
      <c r="A23" s="66">
        <v>16</v>
      </c>
      <c r="B23" s="65" t="s">
        <v>8</v>
      </c>
      <c r="C23" s="86" t="s">
        <v>91</v>
      </c>
      <c r="D23" s="97" t="s">
        <v>80</v>
      </c>
      <c r="E23" s="94">
        <v>334588</v>
      </c>
      <c r="F23" s="86" t="s">
        <v>132</v>
      </c>
      <c r="G23" s="131">
        <v>70</v>
      </c>
      <c r="H23" s="92">
        <f t="shared" si="0"/>
        <v>66929</v>
      </c>
      <c r="I23" s="93" t="s">
        <v>27</v>
      </c>
      <c r="J23" s="93"/>
      <c r="K23" s="93"/>
      <c r="L23" s="93"/>
      <c r="M23" s="93"/>
      <c r="N23" s="93"/>
      <c r="O23" s="93"/>
      <c r="P23" s="93"/>
      <c r="Q23" s="93"/>
      <c r="R23" s="94"/>
      <c r="S23" s="93"/>
      <c r="T23" s="101"/>
      <c r="U23" s="93" t="s">
        <v>28</v>
      </c>
      <c r="V23" s="96"/>
      <c r="W23" s="96"/>
      <c r="X23" s="39"/>
    </row>
    <row r="24" spans="1:24" s="38" customFormat="1" ht="30" x14ac:dyDescent="0.2">
      <c r="A24" s="66">
        <v>17</v>
      </c>
      <c r="B24" s="65" t="s">
        <v>44</v>
      </c>
      <c r="C24" s="87" t="s">
        <v>48</v>
      </c>
      <c r="D24" s="97" t="s">
        <v>79</v>
      </c>
      <c r="E24" s="94">
        <v>469977</v>
      </c>
      <c r="F24" s="86" t="s">
        <v>131</v>
      </c>
      <c r="G24" s="131">
        <v>90</v>
      </c>
      <c r="H24" s="92">
        <f t="shared" si="0"/>
        <v>67019</v>
      </c>
      <c r="I24" s="93" t="s">
        <v>27</v>
      </c>
      <c r="J24" s="93"/>
      <c r="K24" s="93"/>
      <c r="L24" s="93"/>
      <c r="M24" s="93"/>
      <c r="N24" s="93"/>
      <c r="O24" s="93"/>
      <c r="P24" s="93"/>
      <c r="Q24" s="93"/>
      <c r="R24" s="94"/>
      <c r="S24" s="93"/>
      <c r="T24" s="101"/>
      <c r="U24" s="93" t="s">
        <v>28</v>
      </c>
      <c r="V24" s="96" t="s">
        <v>98</v>
      </c>
      <c r="W24" s="96"/>
      <c r="X24" s="39"/>
    </row>
    <row r="25" spans="1:24" s="38" customFormat="1" ht="30" x14ac:dyDescent="0.2">
      <c r="A25" s="66">
        <v>19</v>
      </c>
      <c r="B25" s="67" t="s">
        <v>9</v>
      </c>
      <c r="C25" s="88" t="s">
        <v>74</v>
      </c>
      <c r="D25" s="90" t="s">
        <v>79</v>
      </c>
      <c r="E25" s="91">
        <v>456609</v>
      </c>
      <c r="F25" s="86" t="s">
        <v>93</v>
      </c>
      <c r="G25" s="131">
        <v>85</v>
      </c>
      <c r="H25" s="92">
        <f t="shared" si="0"/>
        <v>67104</v>
      </c>
      <c r="I25" s="93" t="s">
        <v>27</v>
      </c>
      <c r="J25" s="93"/>
      <c r="K25" s="93"/>
      <c r="L25" s="93"/>
      <c r="M25" s="93"/>
      <c r="N25" s="93"/>
      <c r="O25" s="93"/>
      <c r="P25" s="93"/>
      <c r="Q25" s="93"/>
      <c r="R25" s="94"/>
      <c r="S25" s="93"/>
      <c r="T25" s="101"/>
      <c r="U25" s="93" t="s">
        <v>28</v>
      </c>
      <c r="V25" s="96"/>
      <c r="W25" s="96"/>
      <c r="X25" s="39"/>
    </row>
    <row r="26" spans="1:24" s="38" customFormat="1" ht="15" x14ac:dyDescent="0.2">
      <c r="A26" s="66">
        <v>21</v>
      </c>
      <c r="B26" s="67" t="s">
        <v>10</v>
      </c>
      <c r="C26" s="88" t="s">
        <v>49</v>
      </c>
      <c r="D26" s="90" t="s">
        <v>127</v>
      </c>
      <c r="E26" s="91">
        <v>368299</v>
      </c>
      <c r="F26" s="86" t="s">
        <v>124</v>
      </c>
      <c r="G26" s="131">
        <v>500</v>
      </c>
      <c r="H26" s="92">
        <f t="shared" si="0"/>
        <v>67604</v>
      </c>
      <c r="I26" s="93" t="s">
        <v>27</v>
      </c>
      <c r="J26" s="93"/>
      <c r="K26" s="93"/>
      <c r="L26" s="93"/>
      <c r="M26" s="93"/>
      <c r="N26" s="93"/>
      <c r="O26" s="93"/>
      <c r="P26" s="93"/>
      <c r="Q26" s="93"/>
      <c r="R26" s="94"/>
      <c r="S26" s="93"/>
      <c r="T26" s="101"/>
      <c r="U26" s="93" t="s">
        <v>28</v>
      </c>
      <c r="V26" s="96"/>
      <c r="W26" s="96"/>
      <c r="X26" s="39"/>
    </row>
    <row r="27" spans="1:24" s="38" customFormat="1" ht="30" x14ac:dyDescent="0.2">
      <c r="A27" s="66">
        <v>22</v>
      </c>
      <c r="B27" s="67" t="s">
        <v>10</v>
      </c>
      <c r="C27" s="88" t="s">
        <v>50</v>
      </c>
      <c r="D27" s="90" t="s">
        <v>79</v>
      </c>
      <c r="E27" s="91">
        <v>473224</v>
      </c>
      <c r="F27" s="86" t="s">
        <v>144</v>
      </c>
      <c r="G27" s="131">
        <v>550</v>
      </c>
      <c r="H27" s="92">
        <f t="shared" si="0"/>
        <v>68154</v>
      </c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93"/>
      <c r="T27" s="101"/>
      <c r="U27" s="93" t="s">
        <v>28</v>
      </c>
      <c r="V27" s="96"/>
      <c r="W27" s="96"/>
      <c r="X27" s="39"/>
    </row>
    <row r="28" spans="1:24" s="38" customFormat="1" ht="60" customHeight="1" x14ac:dyDescent="0.2">
      <c r="A28" s="66">
        <v>23</v>
      </c>
      <c r="B28" s="67" t="s">
        <v>10</v>
      </c>
      <c r="C28" s="88" t="s">
        <v>129</v>
      </c>
      <c r="D28" s="90" t="s">
        <v>128</v>
      </c>
      <c r="E28" s="91">
        <v>372857</v>
      </c>
      <c r="F28" s="86" t="s">
        <v>130</v>
      </c>
      <c r="G28" s="131">
        <v>300</v>
      </c>
      <c r="H28" s="92">
        <f t="shared" si="0"/>
        <v>68454</v>
      </c>
      <c r="I28" s="93" t="s">
        <v>27</v>
      </c>
      <c r="J28" s="93"/>
      <c r="K28" s="93"/>
      <c r="L28" s="93"/>
      <c r="M28" s="93"/>
      <c r="N28" s="93"/>
      <c r="O28" s="93"/>
      <c r="P28" s="93"/>
      <c r="Q28" s="93"/>
      <c r="R28" s="94"/>
      <c r="S28" s="93"/>
      <c r="T28" s="101"/>
      <c r="U28" s="93" t="s">
        <v>28</v>
      </c>
      <c r="V28" s="96" t="s">
        <v>99</v>
      </c>
      <c r="W28" s="96"/>
      <c r="X28" s="39"/>
    </row>
    <row r="29" spans="1:24" s="38" customFormat="1" ht="59.25" customHeight="1" x14ac:dyDescent="0.2">
      <c r="A29" s="66">
        <v>29</v>
      </c>
      <c r="B29" s="65" t="s">
        <v>5</v>
      </c>
      <c r="C29" s="87" t="s">
        <v>149</v>
      </c>
      <c r="D29" s="90" t="s">
        <v>79</v>
      </c>
      <c r="E29" s="91">
        <v>464431</v>
      </c>
      <c r="F29" s="86" t="s">
        <v>150</v>
      </c>
      <c r="G29" s="131">
        <v>75</v>
      </c>
      <c r="H29" s="92">
        <f>H28+G29</f>
        <v>68529</v>
      </c>
      <c r="I29" s="93" t="s">
        <v>27</v>
      </c>
      <c r="J29" s="93"/>
      <c r="K29" s="93"/>
      <c r="L29" s="93"/>
      <c r="M29" s="93"/>
      <c r="N29" s="93"/>
      <c r="O29" s="93"/>
      <c r="P29" s="93"/>
      <c r="Q29" s="93"/>
      <c r="R29" s="94"/>
      <c r="S29" s="93"/>
      <c r="T29" s="101"/>
      <c r="U29" s="93" t="s">
        <v>28</v>
      </c>
      <c r="V29" s="96"/>
      <c r="W29" s="96"/>
      <c r="X29" s="39"/>
    </row>
    <row r="30" spans="1:24" s="38" customFormat="1" ht="50.25" customHeight="1" x14ac:dyDescent="0.2">
      <c r="A30" s="66">
        <v>31</v>
      </c>
      <c r="B30" s="67" t="s">
        <v>5</v>
      </c>
      <c r="C30" s="88" t="s">
        <v>83</v>
      </c>
      <c r="D30" s="90" t="s">
        <v>79</v>
      </c>
      <c r="E30" s="91">
        <v>461410</v>
      </c>
      <c r="F30" s="86" t="s">
        <v>92</v>
      </c>
      <c r="G30" s="131">
        <v>50</v>
      </c>
      <c r="H30" s="92">
        <f t="shared" ref="H30:H42" si="2">H29+G30</f>
        <v>68579</v>
      </c>
      <c r="I30" s="93" t="s">
        <v>125</v>
      </c>
      <c r="J30" s="93"/>
      <c r="K30" s="93"/>
      <c r="L30" s="93"/>
      <c r="M30" s="93"/>
      <c r="N30" s="93"/>
      <c r="O30" s="93"/>
      <c r="P30" s="93"/>
      <c r="Q30" s="93"/>
      <c r="R30" s="94"/>
      <c r="S30" s="93"/>
      <c r="T30" s="93">
        <v>5</v>
      </c>
      <c r="U30" s="95">
        <f>AVERAGE(J30:T30)</f>
        <v>5</v>
      </c>
      <c r="V30" s="96" t="s">
        <v>39</v>
      </c>
      <c r="W30" s="96" t="s">
        <v>111</v>
      </c>
      <c r="X30" s="39"/>
    </row>
    <row r="31" spans="1:24" s="38" customFormat="1" ht="23.45" customHeight="1" x14ac:dyDescent="0.2">
      <c r="A31" s="117">
        <v>32</v>
      </c>
      <c r="B31" s="118" t="s">
        <v>5</v>
      </c>
      <c r="C31" s="119" t="s">
        <v>38</v>
      </c>
      <c r="D31" s="120" t="s">
        <v>82</v>
      </c>
      <c r="E31" s="121">
        <v>328188</v>
      </c>
      <c r="F31" s="122" t="s">
        <v>92</v>
      </c>
      <c r="G31" s="132">
        <v>0</v>
      </c>
      <c r="H31" s="123">
        <f t="shared" si="2"/>
        <v>68579</v>
      </c>
      <c r="I31" s="124" t="s">
        <v>27</v>
      </c>
      <c r="J31" s="124"/>
      <c r="K31" s="124"/>
      <c r="L31" s="124"/>
      <c r="M31" s="124"/>
      <c r="N31" s="124"/>
      <c r="O31" s="124"/>
      <c r="P31" s="124"/>
      <c r="Q31" s="124"/>
      <c r="R31" s="125"/>
      <c r="S31" s="124"/>
      <c r="T31" s="124"/>
      <c r="U31" s="126" t="s">
        <v>28</v>
      </c>
      <c r="V31" s="133" t="s">
        <v>151</v>
      </c>
      <c r="W31" s="96"/>
      <c r="X31" s="39"/>
    </row>
    <row r="32" spans="1:24" s="38" customFormat="1" ht="30" x14ac:dyDescent="0.2">
      <c r="A32" s="66">
        <v>33</v>
      </c>
      <c r="B32" s="68" t="s">
        <v>5</v>
      </c>
      <c r="C32" s="87" t="s">
        <v>52</v>
      </c>
      <c r="D32" s="90" t="s">
        <v>63</v>
      </c>
      <c r="E32" s="91">
        <v>469690</v>
      </c>
      <c r="F32" s="86" t="s">
        <v>71</v>
      </c>
      <c r="G32" s="131">
        <v>5780</v>
      </c>
      <c r="H32" s="92">
        <f t="shared" si="2"/>
        <v>74359</v>
      </c>
      <c r="I32" s="93" t="s">
        <v>27</v>
      </c>
      <c r="J32" s="93"/>
      <c r="K32" s="93"/>
      <c r="L32" s="93"/>
      <c r="M32" s="93"/>
      <c r="N32" s="93"/>
      <c r="O32" s="93"/>
      <c r="P32" s="93"/>
      <c r="Q32" s="93"/>
      <c r="R32" s="94"/>
      <c r="S32" s="93"/>
      <c r="T32" s="93"/>
      <c r="U32" s="95" t="s">
        <v>28</v>
      </c>
      <c r="V32" s="96"/>
      <c r="W32" s="96"/>
      <c r="X32" s="39"/>
    </row>
    <row r="33" spans="1:24" s="38" customFormat="1" ht="34.9" customHeight="1" x14ac:dyDescent="0.2">
      <c r="A33" s="66">
        <v>35</v>
      </c>
      <c r="B33" s="68" t="s">
        <v>5</v>
      </c>
      <c r="C33" s="87" t="s">
        <v>101</v>
      </c>
      <c r="D33" s="90" t="s">
        <v>89</v>
      </c>
      <c r="E33" s="91">
        <v>139435</v>
      </c>
      <c r="F33" s="86" t="s">
        <v>100</v>
      </c>
      <c r="G33" s="131">
        <v>150</v>
      </c>
      <c r="H33" s="92">
        <f t="shared" si="2"/>
        <v>74509</v>
      </c>
      <c r="I33" s="93" t="s">
        <v>27</v>
      </c>
      <c r="J33" s="93"/>
      <c r="K33" s="93"/>
      <c r="L33" s="93"/>
      <c r="M33" s="93"/>
      <c r="N33" s="93"/>
      <c r="O33" s="93"/>
      <c r="P33" s="93"/>
      <c r="Q33" s="93"/>
      <c r="R33" s="94"/>
      <c r="S33" s="93"/>
      <c r="T33" s="93"/>
      <c r="U33" s="95" t="s">
        <v>28</v>
      </c>
      <c r="V33" s="96"/>
      <c r="W33" s="96"/>
      <c r="X33" s="39"/>
    </row>
    <row r="34" spans="1:24" s="38" customFormat="1" ht="30.75" x14ac:dyDescent="0.2">
      <c r="A34" s="66">
        <v>37</v>
      </c>
      <c r="B34" s="67" t="s">
        <v>5</v>
      </c>
      <c r="C34" s="87" t="s">
        <v>53</v>
      </c>
      <c r="D34" s="90" t="s">
        <v>58</v>
      </c>
      <c r="E34" s="91" t="s">
        <v>58</v>
      </c>
      <c r="F34" s="86" t="s">
        <v>81</v>
      </c>
      <c r="G34" s="131">
        <v>0</v>
      </c>
      <c r="H34" s="92">
        <f t="shared" si="2"/>
        <v>74509</v>
      </c>
      <c r="I34" s="93" t="s">
        <v>125</v>
      </c>
      <c r="J34" s="93"/>
      <c r="K34" s="93"/>
      <c r="L34" s="93"/>
      <c r="M34" s="93"/>
      <c r="N34" s="93"/>
      <c r="O34" s="93"/>
      <c r="P34" s="93"/>
      <c r="Q34" s="93"/>
      <c r="R34" s="94"/>
      <c r="S34" s="93"/>
      <c r="T34" s="93"/>
      <c r="U34" s="95" t="e">
        <f>AVERAGE(J34:T34)</f>
        <v>#DIV/0!</v>
      </c>
      <c r="V34" s="96"/>
      <c r="W34" s="96"/>
      <c r="X34" s="56"/>
    </row>
    <row r="35" spans="1:24" s="38" customFormat="1" ht="30.75" x14ac:dyDescent="0.2">
      <c r="A35" s="66">
        <v>39</v>
      </c>
      <c r="B35" s="67" t="s">
        <v>4</v>
      </c>
      <c r="C35" s="88" t="s">
        <v>73</v>
      </c>
      <c r="D35" s="97" t="s">
        <v>58</v>
      </c>
      <c r="E35" s="94" t="s">
        <v>58</v>
      </c>
      <c r="F35" s="86" t="s">
        <v>81</v>
      </c>
      <c r="G35" s="131">
        <v>0</v>
      </c>
      <c r="H35" s="92">
        <f t="shared" si="2"/>
        <v>74509</v>
      </c>
      <c r="I35" s="93" t="s">
        <v>125</v>
      </c>
      <c r="J35" s="93"/>
      <c r="K35" s="93"/>
      <c r="L35" s="93"/>
      <c r="M35" s="93"/>
      <c r="N35" s="93"/>
      <c r="O35" s="93"/>
      <c r="P35" s="93"/>
      <c r="Q35" s="93"/>
      <c r="R35" s="94"/>
      <c r="S35" s="93"/>
      <c r="T35" s="93"/>
      <c r="U35" s="95" t="e">
        <f>AVERAGE(J35:T35)</f>
        <v>#DIV/0!</v>
      </c>
      <c r="V35" s="96"/>
      <c r="W35" s="96"/>
      <c r="X35" s="56"/>
    </row>
    <row r="36" spans="1:24" s="38" customFormat="1" ht="30" x14ac:dyDescent="0.2">
      <c r="A36" s="66">
        <v>41</v>
      </c>
      <c r="B36" s="67" t="s">
        <v>5</v>
      </c>
      <c r="C36" s="87" t="s">
        <v>102</v>
      </c>
      <c r="D36" s="90" t="s">
        <v>70</v>
      </c>
      <c r="E36" s="91" t="s">
        <v>70</v>
      </c>
      <c r="F36" s="86" t="s">
        <v>41</v>
      </c>
      <c r="G36" s="131">
        <v>0</v>
      </c>
      <c r="H36" s="92">
        <f t="shared" si="2"/>
        <v>74509</v>
      </c>
      <c r="I36" s="93" t="s">
        <v>125</v>
      </c>
      <c r="J36" s="93"/>
      <c r="K36" s="93"/>
      <c r="L36" s="93"/>
      <c r="M36" s="93"/>
      <c r="N36" s="93"/>
      <c r="O36" s="93"/>
      <c r="P36" s="93"/>
      <c r="Q36" s="93"/>
      <c r="R36" s="94"/>
      <c r="S36" s="93"/>
      <c r="T36" s="93"/>
      <c r="U36" s="95" t="e">
        <f>AVERAGE(J36:T36)</f>
        <v>#DIV/0!</v>
      </c>
      <c r="V36" s="96"/>
      <c r="W36" s="96"/>
      <c r="X36" s="56"/>
    </row>
    <row r="37" spans="1:24" s="38" customFormat="1" ht="35.1" customHeight="1" x14ac:dyDescent="0.2">
      <c r="A37" s="66">
        <v>43</v>
      </c>
      <c r="B37" s="67" t="s">
        <v>42</v>
      </c>
      <c r="C37" s="88" t="s">
        <v>54</v>
      </c>
      <c r="D37" s="97" t="s">
        <v>56</v>
      </c>
      <c r="E37" s="94">
        <v>122645</v>
      </c>
      <c r="F37" s="86" t="s">
        <v>107</v>
      </c>
      <c r="G37" s="131">
        <v>2600</v>
      </c>
      <c r="H37" s="92">
        <f t="shared" si="2"/>
        <v>77109</v>
      </c>
      <c r="I37" s="93" t="s">
        <v>27</v>
      </c>
      <c r="J37" s="93"/>
      <c r="K37" s="93"/>
      <c r="L37" s="93"/>
      <c r="M37" s="93"/>
      <c r="N37" s="93"/>
      <c r="O37" s="93"/>
      <c r="P37" s="93"/>
      <c r="Q37" s="93"/>
      <c r="R37" s="94"/>
      <c r="S37" s="93"/>
      <c r="T37" s="93"/>
      <c r="U37" s="95" t="s">
        <v>28</v>
      </c>
      <c r="V37" s="96" t="s">
        <v>108</v>
      </c>
      <c r="W37" s="96"/>
      <c r="X37" s="39"/>
    </row>
    <row r="38" spans="1:24" s="38" customFormat="1" ht="54.6" customHeight="1" x14ac:dyDescent="0.2">
      <c r="A38" s="66">
        <v>45</v>
      </c>
      <c r="B38" s="67" t="s">
        <v>5</v>
      </c>
      <c r="C38" s="88" t="s">
        <v>75</v>
      </c>
      <c r="D38" s="97" t="s">
        <v>59</v>
      </c>
      <c r="E38" s="94">
        <v>152054</v>
      </c>
      <c r="F38" s="86" t="s">
        <v>140</v>
      </c>
      <c r="G38" s="131">
        <v>20</v>
      </c>
      <c r="H38" s="92">
        <f t="shared" si="2"/>
        <v>77129</v>
      </c>
      <c r="I38" s="93" t="s">
        <v>27</v>
      </c>
      <c r="J38" s="93"/>
      <c r="K38" s="93"/>
      <c r="L38" s="93"/>
      <c r="M38" s="93"/>
      <c r="N38" s="93"/>
      <c r="O38" s="93"/>
      <c r="P38" s="93"/>
      <c r="Q38" s="93"/>
      <c r="R38" s="94"/>
      <c r="S38" s="93"/>
      <c r="T38" s="93"/>
      <c r="U38" s="95" t="s">
        <v>28</v>
      </c>
      <c r="V38" s="96" t="s">
        <v>141</v>
      </c>
      <c r="W38" s="96"/>
      <c r="X38" s="39"/>
    </row>
    <row r="39" spans="1:24" s="38" customFormat="1" ht="60" x14ac:dyDescent="0.2">
      <c r="A39" s="66">
        <v>49</v>
      </c>
      <c r="B39" s="67" t="s">
        <v>43</v>
      </c>
      <c r="C39" s="88" t="s">
        <v>57</v>
      </c>
      <c r="D39" s="90" t="s">
        <v>72</v>
      </c>
      <c r="E39" s="91" t="s">
        <v>58</v>
      </c>
      <c r="F39" s="86" t="s">
        <v>87</v>
      </c>
      <c r="G39" s="131">
        <v>2500</v>
      </c>
      <c r="H39" s="92">
        <f t="shared" si="2"/>
        <v>79629</v>
      </c>
      <c r="I39" s="93" t="s">
        <v>125</v>
      </c>
      <c r="J39" s="93"/>
      <c r="K39" s="93"/>
      <c r="L39" s="93"/>
      <c r="M39" s="93"/>
      <c r="N39" s="93"/>
      <c r="O39" s="93"/>
      <c r="P39" s="93"/>
      <c r="Q39" s="93"/>
      <c r="R39" s="94"/>
      <c r="S39" s="93"/>
      <c r="T39" s="93"/>
      <c r="U39" s="95" t="e">
        <f>AVERAGE(J40:L40)</f>
        <v>#DIV/0!</v>
      </c>
      <c r="V39" s="96" t="s">
        <v>117</v>
      </c>
      <c r="W39" s="96"/>
      <c r="X39" s="39"/>
    </row>
    <row r="40" spans="1:24" ht="48" customHeight="1" x14ac:dyDescent="0.2">
      <c r="A40" s="66">
        <v>50</v>
      </c>
      <c r="B40" s="67" t="s">
        <v>9</v>
      </c>
      <c r="C40" s="89" t="s">
        <v>94</v>
      </c>
      <c r="D40" s="90" t="s">
        <v>58</v>
      </c>
      <c r="E40" s="91" t="s">
        <v>58</v>
      </c>
      <c r="F40" s="86" t="s">
        <v>105</v>
      </c>
      <c r="G40" s="131">
        <v>0</v>
      </c>
      <c r="H40" s="92">
        <f t="shared" si="2"/>
        <v>79629</v>
      </c>
      <c r="I40" s="93" t="s">
        <v>125</v>
      </c>
      <c r="J40" s="93"/>
      <c r="K40" s="93"/>
      <c r="L40" s="93"/>
      <c r="M40" s="93"/>
      <c r="N40" s="93"/>
      <c r="O40" s="93"/>
      <c r="P40" s="93"/>
      <c r="Q40" s="93"/>
      <c r="R40" s="94"/>
      <c r="S40" s="93"/>
      <c r="T40" s="93"/>
      <c r="U40" s="95" t="e">
        <f>AVERAGE(J40:L40)</f>
        <v>#DIV/0!</v>
      </c>
      <c r="V40" s="96" t="s">
        <v>114</v>
      </c>
      <c r="W40" s="96" t="s">
        <v>112</v>
      </c>
    </row>
    <row r="41" spans="1:24" ht="48.75" customHeight="1" x14ac:dyDescent="0.2">
      <c r="A41" s="66">
        <v>51</v>
      </c>
      <c r="B41" s="67" t="s">
        <v>11</v>
      </c>
      <c r="C41" s="89" t="s">
        <v>104</v>
      </c>
      <c r="D41" s="90" t="s">
        <v>79</v>
      </c>
      <c r="E41" s="91">
        <v>479912</v>
      </c>
      <c r="F41" s="86" t="s">
        <v>153</v>
      </c>
      <c r="G41" s="131">
        <v>243</v>
      </c>
      <c r="H41" s="92">
        <f t="shared" si="2"/>
        <v>79872</v>
      </c>
      <c r="I41" s="93" t="s">
        <v>125</v>
      </c>
      <c r="J41" s="93"/>
      <c r="K41" s="93"/>
      <c r="L41" s="93"/>
      <c r="M41" s="93"/>
      <c r="N41" s="93"/>
      <c r="O41" s="93"/>
      <c r="P41" s="93"/>
      <c r="Q41" s="93"/>
      <c r="R41" s="94"/>
      <c r="S41" s="93"/>
      <c r="T41" s="93">
        <v>5</v>
      </c>
      <c r="U41" s="95">
        <f>AVERAGE(J41:T41)</f>
        <v>5</v>
      </c>
      <c r="V41" s="96" t="s">
        <v>152</v>
      </c>
      <c r="W41" s="96" t="s">
        <v>118</v>
      </c>
    </row>
    <row r="42" spans="1:24" ht="30" x14ac:dyDescent="0.2">
      <c r="A42" s="66">
        <v>52</v>
      </c>
      <c r="B42" s="67" t="s">
        <v>10</v>
      </c>
      <c r="C42" s="89" t="s">
        <v>113</v>
      </c>
      <c r="D42" s="90" t="s">
        <v>58</v>
      </c>
      <c r="E42" s="91" t="s">
        <v>58</v>
      </c>
      <c r="F42" s="86" t="s">
        <v>115</v>
      </c>
      <c r="G42" s="131">
        <v>0</v>
      </c>
      <c r="H42" s="92">
        <f t="shared" si="2"/>
        <v>79872</v>
      </c>
      <c r="I42" s="93" t="s">
        <v>125</v>
      </c>
      <c r="J42" s="93"/>
      <c r="K42" s="93"/>
      <c r="L42" s="93"/>
      <c r="M42" s="93"/>
      <c r="N42" s="93"/>
      <c r="O42" s="93"/>
      <c r="P42" s="93"/>
      <c r="Q42" s="93"/>
      <c r="R42" s="94"/>
      <c r="S42" s="93"/>
      <c r="T42" s="93"/>
      <c r="U42" s="95" t="e">
        <f>AVERAGE(J42:L42,S42)</f>
        <v>#DIV/0!</v>
      </c>
      <c r="V42" s="96" t="s">
        <v>116</v>
      </c>
      <c r="W42" s="96"/>
    </row>
    <row r="47" spans="1:24" x14ac:dyDescent="0.2">
      <c r="H47" s="115"/>
    </row>
  </sheetData>
  <autoFilter ref="A6:W42"/>
  <mergeCells count="4">
    <mergeCell ref="D2:E2"/>
    <mergeCell ref="D3:E3"/>
    <mergeCell ref="D5:E5"/>
    <mergeCell ref="D4:E4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90</v>
      </c>
      <c r="C1" s="5"/>
    </row>
    <row r="2" spans="1:16" ht="45" customHeight="1" x14ac:dyDescent="0.2">
      <c r="B2" s="74" t="str">
        <f>'Ranking Sheet '!F2</f>
        <v>Version: 4/17/2019 (Version 3.0)</v>
      </c>
      <c r="C2" s="11" t="str">
        <f>'Ranking Sheet '!C2</f>
        <v>FY20 President's Budget Total $21.602M (House/Senate TBD)</v>
      </c>
    </row>
    <row r="3" spans="1:16" x14ac:dyDescent="0.2">
      <c r="B3" s="74" t="s">
        <v>86</v>
      </c>
      <c r="C3" s="13"/>
    </row>
    <row r="4" spans="1:16" x14ac:dyDescent="0.2">
      <c r="B4" s="75"/>
      <c r="C4" s="13"/>
    </row>
    <row r="5" spans="1:16" x14ac:dyDescent="0.2">
      <c r="C5" s="28" t="e">
        <f>'Ranking Sheet '!#REF!</f>
        <v>#REF!</v>
      </c>
    </row>
    <row r="6" spans="1:16" ht="51" x14ac:dyDescent="0.2">
      <c r="A6" s="19" t="s">
        <v>13</v>
      </c>
      <c r="B6" s="2" t="s">
        <v>1</v>
      </c>
      <c r="C6" s="2" t="s">
        <v>0</v>
      </c>
      <c r="D6" s="113" t="str">
        <f>'Ranking Sheet '!G6</f>
        <v>FY20 Initial Capability April 2019</v>
      </c>
      <c r="E6" s="113" t="str">
        <f>'Ranking Sheet '!H6</f>
        <v>FY20 Preliminary Cumulative Capability</v>
      </c>
      <c r="F6" s="6" t="s">
        <v>119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129" t="s">
        <v>6</v>
      </c>
      <c r="C7" s="130"/>
      <c r="D7" s="130"/>
      <c r="E7" s="130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60">
        <f>'Ranking Sheet '!G8</f>
        <v>60850</v>
      </c>
      <c r="E8" s="60">
        <f>D8</f>
        <v>60850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60">
        <f>'Ranking Sheet '!G10</f>
        <v>2655</v>
      </c>
      <c r="E9" s="60">
        <f>D9+E8</f>
        <v>63505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70">
        <v>3</v>
      </c>
      <c r="B12" s="61" t="str">
        <f>VLOOKUP(A12,'Ranking Sheet '!$A$13:$F$88,2,0)</f>
        <v>ESTU</v>
      </c>
      <c r="C12" s="62" t="str">
        <f>VLOOKUP(A12,'Ranking Sheet '!$A$13:$F$88,3,0)</f>
        <v xml:space="preserve">Estuary Habitat Studies </v>
      </c>
      <c r="D12" s="112">
        <f>VLOOKUP(A12,'Ranking Sheet '!$A$13:$H$42,7,0)</f>
        <v>995</v>
      </c>
      <c r="E12" s="63">
        <f>D12+E9</f>
        <v>64500</v>
      </c>
      <c r="F12" s="64" t="e">
        <f>VLOOKUP(A12,'Ranking Sheet '!$A$13:$U$42,21,0)</f>
        <v>#DIV/0!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70">
        <v>4</v>
      </c>
      <c r="B13" s="61" t="str">
        <f>VLOOKUP(A13,'Ranking Sheet '!$A$13:$F$88,2,0)</f>
        <v>ESTU</v>
      </c>
      <c r="C13" s="62" t="str">
        <f>VLOOKUP(A13,'Ranking Sheet '!$A$13:$F$88,3,0)</f>
        <v>Avian Predation - Cormorant Management and Monitoring</v>
      </c>
      <c r="D13" s="112">
        <f>VLOOKUP(A13,'Ranking Sheet '!$A$13:$H$42,7,0)</f>
        <v>30</v>
      </c>
      <c r="E13" s="63">
        <f>E12+D13</f>
        <v>64530</v>
      </c>
      <c r="F13" s="64" t="str">
        <f>VLOOKUP(A13,'Ranking Sheet '!$A$13:$U$42,21,0)</f>
        <v>M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70">
        <v>7</v>
      </c>
      <c r="B14" s="61" t="str">
        <f>VLOOKUP(A14,'Ranking Sheet '!$A$13:$F$88,2,0)</f>
        <v>TDA</v>
      </c>
      <c r="C14" s="62" t="str">
        <f>VLOOKUP(A14,'Ranking Sheet '!$A$13:$F$88,3,0)</f>
        <v>The Dalles East Fish Ladder Emergency Auxiliary Water Supply</v>
      </c>
      <c r="D14" s="112">
        <f>VLOOKUP(A14,'Ranking Sheet '!$A$13:$H$42,7,0)</f>
        <v>150</v>
      </c>
      <c r="E14" s="63">
        <f t="shared" ref="E14:E22" si="0">E13+D14</f>
        <v>64680</v>
      </c>
      <c r="F14" s="64" t="str">
        <f>VLOOKUP(A14,'Ranking Sheet '!$A$13:$U$42,21,0)</f>
        <v>M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70">
        <v>8</v>
      </c>
      <c r="B15" s="61" t="str">
        <f>VLOOKUP(A15,'Ranking Sheet '!$A$13:$F$88,2,0)</f>
        <v>SYS</v>
      </c>
      <c r="C15" s="62" t="str">
        <f>VLOOKUP(A15,'Ranking Sheet '!$A$13:$F$88,3,0)</f>
        <v>Lower Columbia River Juvenile Survival Studies</v>
      </c>
      <c r="D15" s="112">
        <f>VLOOKUP(A15,'Ranking Sheet '!$A$13:$H$42,7,0)</f>
        <v>1200</v>
      </c>
      <c r="E15" s="63">
        <f t="shared" si="0"/>
        <v>65880</v>
      </c>
      <c r="F15" s="64" t="e">
        <f>VLOOKUP(A15,'Ranking Sheet '!$A$13:$U$42,21,0)</f>
        <v>#DIV/0!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70">
        <v>13</v>
      </c>
      <c r="B16" s="61" t="str">
        <f>VLOOKUP(A16,'Ranking Sheet '!$A$13:$F$88,2,0)</f>
        <v>SYS</v>
      </c>
      <c r="C16" s="62" t="str">
        <f>VLOOKUP(A16,'Ranking Sheet '!$A$13:$F$88,3,0)</f>
        <v>FCRPS CRFM Program Management (NWP)</v>
      </c>
      <c r="D16" s="112">
        <f>VLOOKUP(A16,'Ranking Sheet '!$A$13:$H$42,7,0)</f>
        <v>400</v>
      </c>
      <c r="E16" s="63">
        <f t="shared" si="0"/>
        <v>66280</v>
      </c>
      <c r="F16" s="64" t="str">
        <f>VLOOKUP(A16,'Ranking Sheet '!$A$13:$U$42,21,0)</f>
        <v>M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70">
        <v>16</v>
      </c>
      <c r="B17" s="61" t="str">
        <f>VLOOKUP(A17,'Ranking Sheet '!$A$13:$F$88,2,0)</f>
        <v>IHR</v>
      </c>
      <c r="C17" s="62" t="str">
        <f>VLOOKUP(A17,'Ranking Sheet '!$A$13:$F$88,3,0)</f>
        <v>Ice Harbor Turbine Passage Survival Program</v>
      </c>
      <c r="D17" s="112">
        <f>VLOOKUP(A17,'Ranking Sheet '!$A$13:$H$42,7,0)</f>
        <v>70</v>
      </c>
      <c r="E17" s="63">
        <f t="shared" si="0"/>
        <v>66350</v>
      </c>
      <c r="F17" s="64" t="str">
        <f>VLOOKUP(A17,'Ranking Sheet '!$A$13:$U$42,21,0)</f>
        <v>M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70">
        <v>17</v>
      </c>
      <c r="B18" s="61" t="str">
        <f>VLOOKUP(A18,'Ranking Sheet '!$A$13:$F$88,2,0)</f>
        <v>LMN</v>
      </c>
      <c r="C18" s="62" t="str">
        <f>VLOOKUP(A18,'Ranking Sheet '!$A$13:$F$88,3,0)</f>
        <v>Lower Monumental Outfall Primary Bypass Pipe Expansion Joint Deficiency Correction</v>
      </c>
      <c r="D18" s="112">
        <f>VLOOKUP(A18,'Ranking Sheet '!$A$13:$H$42,7,0)</f>
        <v>90</v>
      </c>
      <c r="E18" s="63">
        <f t="shared" si="0"/>
        <v>66440</v>
      </c>
      <c r="F18" s="64" t="str">
        <f>VLOOKUP(A18,'Ranking Sheet '!$A$13:$U$42,21,0)</f>
        <v>M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70">
        <v>19</v>
      </c>
      <c r="B19" s="61" t="str">
        <f>VLOOKUP(A19,'Ranking Sheet '!$A$13:$F$88,2,0)</f>
        <v>LGO</v>
      </c>
      <c r="C19" s="62" t="str">
        <f>VLOOKUP(A19,'Ranking Sheet '!$A$13:$F$88,3,0)</f>
        <v>Little Goose Adult Ladder Temperature Mitigation</v>
      </c>
      <c r="D19" s="112">
        <f>VLOOKUP(A19,'Ranking Sheet '!$A$13:$H$42,7,0)</f>
        <v>85</v>
      </c>
      <c r="E19" s="63">
        <f t="shared" si="0"/>
        <v>66525</v>
      </c>
      <c r="F19" s="64" t="str">
        <f>VLOOKUP(A19,'Ranking Sheet '!$A$13:$U$42,21,0)</f>
        <v>M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70">
        <v>21</v>
      </c>
      <c r="B20" s="61" t="str">
        <f>VLOOKUP(A20,'Ranking Sheet '!$A$13:$F$88,2,0)</f>
        <v>LGR</v>
      </c>
      <c r="C20" s="62" t="str">
        <f>VLOOKUP(A20,'Ranking Sheet '!$A$13:$F$88,3,0)</f>
        <v xml:space="preserve">Lower Granite Spillway PIT Detection </v>
      </c>
      <c r="D20" s="112">
        <f>VLOOKUP(A20,'Ranking Sheet '!$A$13:$H$42,7,0)</f>
        <v>500</v>
      </c>
      <c r="E20" s="63">
        <f t="shared" si="0"/>
        <v>67025</v>
      </c>
      <c r="F20" s="64" t="str">
        <f>VLOOKUP(A20,'Ranking Sheet '!$A$13:$U$42,21,0)</f>
        <v>M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70">
        <v>22</v>
      </c>
      <c r="B21" s="61" t="str">
        <f>VLOOKUP(A21,'Ranking Sheet '!$A$13:$F$88,2,0)</f>
        <v>LGR</v>
      </c>
      <c r="C21" s="62" t="str">
        <f>VLOOKUP(A21,'Ranking Sheet '!$A$13:$F$88,3,0)</f>
        <v>Lower Granite Spillway PIT Tag Detection - Post Construction Monitoring</v>
      </c>
      <c r="D21" s="112">
        <f>VLOOKUP(A21,'Ranking Sheet '!$A$13:$H$42,7,0)</f>
        <v>550</v>
      </c>
      <c r="E21" s="63">
        <f t="shared" si="0"/>
        <v>67575</v>
      </c>
      <c r="F21" s="64" t="str">
        <f>VLOOKUP(A21,'Ranking Sheet '!$A$13:$U$42,21,0)</f>
        <v>M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1">
        <v>23</v>
      </c>
      <c r="B22" s="61" t="str">
        <f>VLOOKUP(A22,'Ranking Sheet '!$A$13:$F$88,2,0)</f>
        <v>LGR</v>
      </c>
      <c r="C22" s="62" t="str">
        <f>VLOOKUP(A22,'Ranking Sheet '!$A$13:$F$88,3,0)</f>
        <v>Lower Granite Juvenile Bypass Facility - Phase 1a (Gatewell to Separator), Phase 1b (Outfall) Close Out</v>
      </c>
      <c r="D22" s="112">
        <f>VLOOKUP(A22,'Ranking Sheet '!$A$13:$H$42,7,0)</f>
        <v>300</v>
      </c>
      <c r="E22" s="63">
        <f t="shared" si="0"/>
        <v>67875</v>
      </c>
      <c r="F22" s="64" t="str">
        <f>VLOOKUP(A22,'Ranking Sheet '!$A$13:$U$42,21,0)</f>
        <v>M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70">
        <v>29</v>
      </c>
      <c r="B23" s="61" t="str">
        <f>VLOOKUP(A23,'Ranking Sheet '!$A$13:$F$88,2,0)</f>
        <v>SYS</v>
      </c>
      <c r="C23" s="62" t="str">
        <f>VLOOKUP(A23,'Ranking Sheet '!$A$13:$F$88,3,0)</f>
        <v>LMO FGE SOG vs PROG (SR 10-min intake gate closure)</v>
      </c>
      <c r="D23" s="112">
        <f>VLOOKUP(A23,'Ranking Sheet '!$A$13:$H$42,7,0)</f>
        <v>75</v>
      </c>
      <c r="E23" s="63">
        <f>E22+D23</f>
        <v>67950</v>
      </c>
      <c r="F23" s="64" t="str">
        <f>VLOOKUP(A23,'Ranking Sheet '!$A$13:$U$42,21,0)</f>
        <v>M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70">
        <v>33</v>
      </c>
      <c r="B24" s="61" t="str">
        <f>VLOOKUP(A24,'Ranking Sheet '!$A$13:$F$88,2,0)</f>
        <v>SYS</v>
      </c>
      <c r="C24" s="62" t="str">
        <f>VLOOKUP(A24,'Ranking Sheet '!$A$13:$F$88,3,0)</f>
        <v>Columbia River System Operations (CRSO) EIS</v>
      </c>
      <c r="D24" s="112">
        <f>VLOOKUP(A24,'Ranking Sheet '!$A$13:$H$42,7,0)</f>
        <v>5780</v>
      </c>
      <c r="E24" s="63">
        <f t="shared" ref="E24:E41" si="1">E23+D24</f>
        <v>73730</v>
      </c>
      <c r="F24" s="64" t="str">
        <f>VLOOKUP(A24,'Ranking Sheet '!$A$13:$U$42,21,0)</f>
        <v>M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70">
        <v>35</v>
      </c>
      <c r="B25" s="61" t="str">
        <f>VLOOKUP(A25,'Ranking Sheet '!$A$13:$F$88,2,0)</f>
        <v>SYS</v>
      </c>
      <c r="C25" s="62" t="str">
        <f>VLOOKUP(A25,'Ranking Sheet '!$A$13:$F$88,3,0)</f>
        <v>FCRPS CRFM Program Management  (NWW)</v>
      </c>
      <c r="D25" s="112">
        <f>VLOOKUP(A25,'Ranking Sheet '!$A$13:$H$42,7,0)</f>
        <v>150</v>
      </c>
      <c r="E25" s="63">
        <f t="shared" si="1"/>
        <v>73880</v>
      </c>
      <c r="F25" s="64" t="str">
        <f>VLOOKUP(A25,'Ranking Sheet '!$A$13:$U$42,21,0)</f>
        <v>M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70">
        <v>43</v>
      </c>
      <c r="B26" s="61" t="str">
        <f>VLOOKUP(A26,'Ranking Sheet '!$A$13:$F$88,2,0)</f>
        <v xml:space="preserve">BON </v>
      </c>
      <c r="C26" s="62" t="str">
        <f>VLOOKUP(A26,'Ranking Sheet '!$A$13:$F$88,3,0)</f>
        <v>Bonneville Powerhouse 2 Fish Guidance Efficiency</v>
      </c>
      <c r="D26" s="112">
        <f>VLOOKUP(A26,'Ranking Sheet '!$A$13:$H$42,7,0)</f>
        <v>2600</v>
      </c>
      <c r="E26" s="63">
        <f t="shared" si="1"/>
        <v>76480</v>
      </c>
      <c r="F26" s="64" t="str">
        <f>VLOOKUP(A26,'Ranking Sheet '!$A$13:$U$42,21,0)</f>
        <v>M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70">
        <v>45</v>
      </c>
      <c r="B27" s="61" t="str">
        <f>VLOOKUP(A27,'Ranking Sheet '!$A$13:$F$88,2,0)</f>
        <v>SYS</v>
      </c>
      <c r="C27" s="62" t="str">
        <f>VLOOKUP(A27,'Ranking Sheet '!$A$13:$F$88,3,0)</f>
        <v>Caspian Tern Management Plan (Avian Predation Monitoring)</v>
      </c>
      <c r="D27" s="112">
        <f>VLOOKUP(A27,'Ranking Sheet '!$A$13:$H$42,7,0)</f>
        <v>20</v>
      </c>
      <c r="E27" s="63">
        <f t="shared" si="1"/>
        <v>76500</v>
      </c>
      <c r="F27" s="64" t="str">
        <f>VLOOKUP(A27,'Ranking Sheet '!$A$13:$U$42,21,0)</f>
        <v>M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70">
        <v>37</v>
      </c>
      <c r="B28" s="61" t="str">
        <f>VLOOKUP(A28,'Ranking Sheet '!$A$13:$F$88,2,0)</f>
        <v>SYS</v>
      </c>
      <c r="C28" s="62" t="str">
        <f>VLOOKUP(A28,'Ranking Sheet '!$A$13:$F$88,3,0)</f>
        <v>Smolt Susceptibility to Avian Predation Post-Bonneville (Placeholder)</v>
      </c>
      <c r="D28" s="112">
        <f>VLOOKUP(A28,'Ranking Sheet '!$A$13:$H$42,7,0)</f>
        <v>0</v>
      </c>
      <c r="E28" s="63">
        <f t="shared" si="1"/>
        <v>76500</v>
      </c>
      <c r="F28" s="64" t="e">
        <f>VLOOKUP(A28,'Ranking Sheet '!$A$13:$U$42,21,0)</f>
        <v>#DIV/0!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70">
        <v>49</v>
      </c>
      <c r="B29" s="61" t="str">
        <f>VLOOKUP(A29,'Ranking Sheet '!$A$13:$F$88,2,0)</f>
        <v>BON</v>
      </c>
      <c r="C29" s="62" t="str">
        <f>VLOOKUP(A29,'Ranking Sheet '!$A$13:$F$88,3,0)</f>
        <v>Bonneville PIT Detection</v>
      </c>
      <c r="D29" s="112">
        <f>VLOOKUP(A29,'Ranking Sheet '!$A$13:$H$42,7,0)</f>
        <v>2500</v>
      </c>
      <c r="E29" s="63">
        <f t="shared" si="1"/>
        <v>79000</v>
      </c>
      <c r="F29" s="64" t="e">
        <f>VLOOKUP(A29,'Ranking Sheet '!$A$13:$U$42,21,0)</f>
        <v>#DIV/0!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70">
        <v>31</v>
      </c>
      <c r="B30" s="61" t="str">
        <f>VLOOKUP(A30,'Ranking Sheet '!$A$13:$F$88,2,0)</f>
        <v>SYS</v>
      </c>
      <c r="C30" s="62" t="str">
        <f>VLOOKUP(A30,'Ranking Sheet '!$A$13:$F$88,3,0)</f>
        <v>Snake River Adult Sockeye Passage Initiatives</v>
      </c>
      <c r="D30" s="112">
        <f>VLOOKUP(A30,'Ranking Sheet '!$A$13:$H$42,7,0)</f>
        <v>50</v>
      </c>
      <c r="E30" s="63">
        <f t="shared" si="1"/>
        <v>79050</v>
      </c>
      <c r="F30" s="64">
        <f>VLOOKUP(A30,'Ranking Sheet '!$A$13:$U$42,21,0)</f>
        <v>5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70">
        <v>32</v>
      </c>
      <c r="B31" s="61" t="str">
        <f>VLOOKUP(A31,'Ranking Sheet '!$A$13:$F$88,2,0)</f>
        <v>SYS</v>
      </c>
      <c r="C31" s="62" t="str">
        <f>VLOOKUP(A31,'Ranking Sheet '!$A$13:$F$88,3,0)</f>
        <v>Inland Avian Predation</v>
      </c>
      <c r="D31" s="112">
        <f>VLOOKUP(A31,'Ranking Sheet '!$A$13:$H$42,7,0)</f>
        <v>0</v>
      </c>
      <c r="E31" s="63">
        <f t="shared" si="1"/>
        <v>79050</v>
      </c>
      <c r="F31" s="64" t="str">
        <f>VLOOKUP(A31,'Ranking Sheet '!$A$13:$U$42,21,0)</f>
        <v>M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70">
        <v>9</v>
      </c>
      <c r="B32" s="61" t="str">
        <f>VLOOKUP(A32,'Ranking Sheet '!$A$13:$F$88,2,0)</f>
        <v>SYS</v>
      </c>
      <c r="C32" s="62" t="str">
        <f>VLOOKUP(A32,'Ranking Sheet '!$A$13:$F$88,3,0)</f>
        <v>Avian Island PIT Detection</v>
      </c>
      <c r="D32" s="112">
        <f>VLOOKUP(A32,'Ranking Sheet '!$A$13:$H$42,7,0)</f>
        <v>270</v>
      </c>
      <c r="E32" s="63">
        <f t="shared" si="1"/>
        <v>79320</v>
      </c>
      <c r="F32" s="64" t="e">
        <f>VLOOKUP(A32,'Ranking Sheet '!$A$13:$U$42,21,0)</f>
        <v>#DIV/0!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70">
        <v>12</v>
      </c>
      <c r="B33" s="61" t="str">
        <f>VLOOKUP(A33,'Ranking Sheet '!$A$13:$F$88,2,0)</f>
        <v>BON/JDA/TDA</v>
      </c>
      <c r="C33" s="62" t="str">
        <f>VLOOKUP(A33,'Ranking Sheet '!$A$13:$F$88,3,0)</f>
        <v>Reservoir Temperature Monitoring at Lower Columbia River Dams</v>
      </c>
      <c r="D33" s="112">
        <f>VLOOKUP(A33,'Ranking Sheet '!$A$13:$H$42,7,0)</f>
        <v>5</v>
      </c>
      <c r="E33" s="63">
        <f t="shared" si="1"/>
        <v>79325</v>
      </c>
      <c r="F33" s="64" t="str">
        <f>VLOOKUP(A33,'Ranking Sheet '!$A$13:$U$42,21,0)</f>
        <v>M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70">
        <v>14</v>
      </c>
      <c r="B34" s="61" t="str">
        <f>VLOOKUP(A34,'Ranking Sheet '!$A$13:$F$88,2,0)</f>
        <v>MCN</v>
      </c>
      <c r="C34" s="62" t="str">
        <f>VLOOKUP(A34,'Ranking Sheet '!$A$13:$F$88,3,0)</f>
        <v>McNary Avian Deterrent Deficiency Correction and Avian Wire Design Feasibility Report</v>
      </c>
      <c r="D34" s="112">
        <f>VLOOKUP(A34,'Ranking Sheet '!$A$13:$H$42,7,0)</f>
        <v>150</v>
      </c>
      <c r="E34" s="63">
        <f t="shared" si="1"/>
        <v>79475</v>
      </c>
      <c r="F34" s="64" t="str">
        <f>VLOOKUP(A34,'Ranking Sheet '!$A$13:$U$42,21,0)</f>
        <v>M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70">
        <v>39</v>
      </c>
      <c r="B35" s="61" t="str">
        <f>VLOOKUP(A35,'Ranking Sheet '!$A$13:$F$88,2,0)</f>
        <v>TDA</v>
      </c>
      <c r="C35" s="62" t="str">
        <f>VLOOKUP(A35,'Ranking Sheet '!$A$13:$F$88,3,0)</f>
        <v>The Dalles Sluiceway PIT Detection Feasibility Evaluation (Placeholder)</v>
      </c>
      <c r="D35" s="112">
        <f>VLOOKUP(A35,'Ranking Sheet '!$A$13:$H$42,7,0)</f>
        <v>0</v>
      </c>
      <c r="E35" s="63">
        <f t="shared" si="1"/>
        <v>79475</v>
      </c>
      <c r="F35" s="64" t="e">
        <f>VLOOKUP(A35,'Ranking Sheet '!$A$13:$U$42,21,0)</f>
        <v>#DIV/0!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70">
        <v>41</v>
      </c>
      <c r="B36" s="61" t="str">
        <f>VLOOKUP(A36,'Ranking Sheet '!$A$13:$F$88,2,0)</f>
        <v>SYS</v>
      </c>
      <c r="C36" s="62" t="str">
        <f>VLOOKUP(A36,'Ranking Sheet '!$A$13:$F$88,3,0)</f>
        <v>Insert title (Placeholder)</v>
      </c>
      <c r="D36" s="112">
        <f>VLOOKUP(A36,'Ranking Sheet '!$A$13:$H$42,7,0)</f>
        <v>0</v>
      </c>
      <c r="E36" s="63">
        <f t="shared" si="1"/>
        <v>79475</v>
      </c>
      <c r="F36" s="64" t="e">
        <f>VLOOKUP(A36,'Ranking Sheet '!$A$13:$U$42,21,0)</f>
        <v>#DIV/0!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70">
        <v>15</v>
      </c>
      <c r="B37" s="61" t="str">
        <f>VLOOKUP(A37,'Ranking Sheet '!$A$13:$F$88,2,0)</f>
        <v>MCN</v>
      </c>
      <c r="C37" s="62" t="str">
        <f>VLOOKUP(A37,'Ranking Sheet '!$A$13:$F$88,3,0)</f>
        <v>McNary Top Spill Weir (TSW) Permanence</v>
      </c>
      <c r="D37" s="112">
        <f>VLOOKUP(A37,'Ranking Sheet '!$A$13:$H$42,7,0)</f>
        <v>50</v>
      </c>
      <c r="E37" s="63">
        <f t="shared" si="1"/>
        <v>79525</v>
      </c>
      <c r="F37" s="64" t="str">
        <f>VLOOKUP(A37,'Ranking Sheet '!$A$13:$U$42,21,0)</f>
        <v>M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70">
        <v>11</v>
      </c>
      <c r="B38" s="61" t="str">
        <f>VLOOKUP(A38,'Ranking Sheet '!$A$13:$F$88,2,0)</f>
        <v>JDA</v>
      </c>
      <c r="C38" s="62" t="str">
        <f>VLOOKUP(A38,'Ranking Sheet '!$A$13:$F$88,3,0)</f>
        <v>John Day Mitigation</v>
      </c>
      <c r="D38" s="112">
        <f>VLOOKUP(A38,'Ranking Sheet '!$A$13:$H$42,7,0)</f>
        <v>104</v>
      </c>
      <c r="E38" s="63">
        <f t="shared" si="1"/>
        <v>79629</v>
      </c>
      <c r="F38" s="64" t="str">
        <f>VLOOKUP(A38,'Ranking Sheet '!$A$13:$U$42,21,0)</f>
        <v>M</v>
      </c>
    </row>
    <row r="39" spans="1:15" x14ac:dyDescent="0.2">
      <c r="A39" s="70">
        <v>50</v>
      </c>
      <c r="B39" s="61" t="str">
        <f>VLOOKUP(A39,'Ranking Sheet '!$A$13:$F$88,2,0)</f>
        <v>LGO</v>
      </c>
      <c r="C39" s="62" t="str">
        <f>VLOOKUP(A39,'Ranking Sheet '!$A$13:$F$88,3,0)</f>
        <v>Little Goose Adult Ladder PIT Feasibility</v>
      </c>
      <c r="D39" s="112">
        <f>VLOOKUP(A39,'Ranking Sheet '!$A$13:$H$42,7,0)</f>
        <v>0</v>
      </c>
      <c r="E39" s="63">
        <f t="shared" si="1"/>
        <v>79629</v>
      </c>
      <c r="F39" s="64" t="e">
        <f>VLOOKUP(A39,'Ranking Sheet '!$A$13:$U$42,21,0)</f>
        <v>#DIV/0!</v>
      </c>
    </row>
    <row r="40" spans="1:15" x14ac:dyDescent="0.2">
      <c r="A40" s="70">
        <v>51</v>
      </c>
      <c r="B40" s="61" t="str">
        <f>VLOOKUP(A40,'Ranking Sheet '!$A$13:$F$88,2,0)</f>
        <v>MCN</v>
      </c>
      <c r="C40" s="62" t="str">
        <f>VLOOKUP(A40,'Ranking Sheet '!$A$13:$F$88,3,0)</f>
        <v>McNary Steelhead Overshoot</v>
      </c>
      <c r="D40" s="112">
        <f>VLOOKUP(A40,'Ranking Sheet '!$A$13:$H$42,7,0)</f>
        <v>243</v>
      </c>
      <c r="E40" s="63">
        <f t="shared" si="1"/>
        <v>79872</v>
      </c>
      <c r="F40" s="64">
        <f>VLOOKUP(A40,'Ranking Sheet '!$A$13:$U$42,21,0)</f>
        <v>5</v>
      </c>
    </row>
    <row r="41" spans="1:15" ht="25.5" x14ac:dyDescent="0.2">
      <c r="A41" s="70">
        <v>52</v>
      </c>
      <c r="B41" s="61" t="str">
        <f>VLOOKUP(A41,'Ranking Sheet '!$A$13:$F$88,2,0)</f>
        <v>LGR</v>
      </c>
      <c r="C41" s="62" t="str">
        <f>VLOOKUP(A41,'Ranking Sheet '!$A$13:$F$88,3,0)</f>
        <v>Lower Granite and Little Goose Deep Spill vs. RSW summer subyearlings</v>
      </c>
      <c r="D41" s="112">
        <f>VLOOKUP(A41,'Ranking Sheet '!$A$13:$H$42,7,0)</f>
        <v>0</v>
      </c>
      <c r="E41" s="63">
        <f t="shared" si="1"/>
        <v>79872</v>
      </c>
      <c r="F41" s="64" t="e">
        <f>VLOOKUP(A41,'Ranking Sheet '!$A$13:$U$42,21,0)</f>
        <v>#DIV/0!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2019-03-21T15:02:02Z</cp:lastPrinted>
  <dcterms:created xsi:type="dcterms:W3CDTF">2010-12-09T16:31:56Z</dcterms:created>
  <dcterms:modified xsi:type="dcterms:W3CDTF">2019-05-16T14:56:24Z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